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20" yWindow="90" windowWidth="23820" windowHeight="10110" activeTab="0"/>
  </bookViews>
  <sheets>
    <sheet name="Calculator" sheetId="1" r:id="rId1"/>
  </sheets>
  <definedNames>
    <definedName name="_xlnm.Print_Area" localSheetId="0">'Calculator'!$A$1:$I$34</definedName>
  </definedNames>
  <calcPr fullCalcOnLoad="1"/>
</workbook>
</file>

<file path=xl/sharedStrings.xml><?xml version="1.0" encoding="utf-8"?>
<sst xmlns="http://schemas.openxmlformats.org/spreadsheetml/2006/main" count="53" uniqueCount="43">
  <si>
    <t>Gross</t>
  </si>
  <si>
    <t>Rebate</t>
  </si>
  <si>
    <t>Apply rebate?</t>
  </si>
  <si>
    <t>NI Tr 1</t>
  </si>
  <si>
    <t>NI Tr 2</t>
  </si>
  <si>
    <t>NI Tr 3</t>
  </si>
  <si>
    <t>Rbt Tr 1</t>
  </si>
  <si>
    <t>University of Strathclyde
Pensions Plus illustrative savings calculator</t>
  </si>
  <si>
    <t>Pension contribution rate</t>
  </si>
  <si>
    <t>PET</t>
  </si>
  <si>
    <t>UEL</t>
  </si>
  <si>
    <t>NIC 1</t>
  </si>
  <si>
    <t>NIC 2</t>
  </si>
  <si>
    <t>NIC 3</t>
  </si>
  <si>
    <t>LEL</t>
  </si>
  <si>
    <t>UAP</t>
  </si>
  <si>
    <t>Rebate 1</t>
  </si>
  <si>
    <t>Tax year</t>
  </si>
  <si>
    <t>2014/15</t>
  </si>
  <si>
    <t>Pension scheme</t>
  </si>
  <si>
    <t>USS Career Revalued Benefits Section (6.5%)</t>
  </si>
  <si>
    <t>Basic salary (annual)</t>
  </si>
  <si>
    <t>TY</t>
  </si>
  <si>
    <t>Currently aged below State Retirement Age?</t>
  </si>
  <si>
    <t>Yes</t>
  </si>
  <si>
    <t>(per annum)</t>
  </si>
  <si>
    <t>Earnings after adjustment</t>
  </si>
  <si>
    <t>Employee pension contribution</t>
  </si>
  <si>
    <t>Earnings after pension contribution</t>
  </si>
  <si>
    <t>Earnings after pension &amp; NICs</t>
  </si>
  <si>
    <t>Inflation for limits</t>
  </si>
  <si>
    <t>Schemes</t>
  </si>
  <si>
    <t>USS Final Salary Section (7.5%)</t>
  </si>
  <si>
    <t>Pensions Plus adjustment</t>
  </si>
  <si>
    <t>Pre 
Pensions Plus</t>
  </si>
  <si>
    <t>Post 
Pensions Plus</t>
  </si>
  <si>
    <t>National Insurance contributions</t>
  </si>
  <si>
    <t>Please enter your information in the green boxes below</t>
  </si>
  <si>
    <t>Increase in take home pay (pa)</t>
  </si>
  <si>
    <t>Additional employer contributon</t>
  </si>
  <si>
    <t>Total pension contribution</t>
  </si>
  <si>
    <r>
      <rPr>
        <i/>
        <sz val="10"/>
        <color indexed="8"/>
        <rFont val="Calibri"/>
        <family val="2"/>
      </rPr>
      <t>Important notes</t>
    </r>
    <r>
      <rPr>
        <sz val="10"/>
        <color indexed="8"/>
        <rFont val="Calibri"/>
        <family val="2"/>
      </rPr>
      <t xml:space="preserve">
1. The increase in your take home pay shown is an illustration, based on your basic salary only
2. The actual amount of NIC saving each month will depend on your total earnings in the month</t>
    </r>
  </si>
  <si>
    <t>Existing employer contribution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</si>
</sst>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
  </numFmts>
  <fonts count="47">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6"/>
      <color indexed="8"/>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6"/>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Font="1" applyAlignment="1">
      <alignment/>
    </xf>
    <xf numFmtId="0" fontId="0" fillId="33" borderId="0" xfId="0" applyFill="1" applyAlignment="1" applyProtection="1">
      <alignment/>
      <protection/>
    </xf>
    <xf numFmtId="0" fontId="0" fillId="34" borderId="10" xfId="0" applyFill="1" applyBorder="1" applyAlignment="1" applyProtection="1">
      <alignment/>
      <protection/>
    </xf>
    <xf numFmtId="0" fontId="0" fillId="33" borderId="0" xfId="0" applyFill="1" applyAlignment="1" applyProtection="1">
      <alignment horizontal="center"/>
      <protection/>
    </xf>
    <xf numFmtId="0" fontId="0" fillId="34" borderId="11" xfId="0" applyFill="1" applyBorder="1" applyAlignment="1" applyProtection="1">
      <alignment/>
      <protection/>
    </xf>
    <xf numFmtId="0" fontId="0" fillId="33" borderId="0" xfId="0" applyFill="1" applyAlignment="1" applyProtection="1">
      <alignment/>
      <protection/>
    </xf>
    <xf numFmtId="0" fontId="0" fillId="34" borderId="12" xfId="0" applyFill="1" applyBorder="1" applyAlignment="1" applyProtection="1">
      <alignment/>
      <protection/>
    </xf>
    <xf numFmtId="164" fontId="0" fillId="33" borderId="0" xfId="0" applyNumberFormat="1" applyFill="1" applyAlignment="1" applyProtection="1">
      <alignmen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10" fontId="0" fillId="33" borderId="0" xfId="0" applyNumberFormat="1" applyFill="1" applyAlignment="1" applyProtection="1">
      <alignment/>
      <protection/>
    </xf>
    <xf numFmtId="0" fontId="0" fillId="34" borderId="15" xfId="0" applyFill="1" applyBorder="1" applyAlignment="1" applyProtection="1">
      <alignment/>
      <protection/>
    </xf>
    <xf numFmtId="0" fontId="0" fillId="34" borderId="0" xfId="0" applyFill="1" applyBorder="1" applyAlignment="1" applyProtection="1">
      <alignment/>
      <protection/>
    </xf>
    <xf numFmtId="0" fontId="0" fillId="34" borderId="11" xfId="0" applyFill="1" applyBorder="1" applyAlignment="1" applyProtection="1">
      <alignment/>
      <protection/>
    </xf>
    <xf numFmtId="3" fontId="0" fillId="35" borderId="0" xfId="0" applyNumberFormat="1" applyFill="1" applyBorder="1" applyAlignment="1" applyProtection="1">
      <alignment horizontal="center"/>
      <protection locked="0"/>
    </xf>
    <xf numFmtId="0" fontId="0" fillId="34" borderId="16" xfId="0" applyFill="1" applyBorder="1" applyAlignment="1" applyProtection="1">
      <alignment/>
      <protection/>
    </xf>
    <xf numFmtId="0" fontId="0" fillId="34" borderId="17" xfId="0" applyFill="1" applyBorder="1" applyAlignment="1" applyProtection="1">
      <alignment/>
      <protection/>
    </xf>
    <xf numFmtId="0" fontId="44" fillId="34" borderId="0" xfId="0" applyFont="1" applyFill="1" applyBorder="1" applyAlignment="1" applyProtection="1">
      <alignment/>
      <protection/>
    </xf>
    <xf numFmtId="9" fontId="0" fillId="33" borderId="0" xfId="0" applyNumberFormat="1" applyFill="1" applyAlignment="1" applyProtection="1">
      <alignment/>
      <protection/>
    </xf>
    <xf numFmtId="165" fontId="0" fillId="35" borderId="0" xfId="0" applyNumberFormat="1" applyFill="1" applyBorder="1" applyAlignment="1" applyProtection="1">
      <alignment horizontal="center"/>
      <protection locked="0"/>
    </xf>
    <xf numFmtId="165" fontId="0" fillId="18" borderId="0" xfId="0" applyNumberFormat="1" applyFill="1" applyBorder="1" applyAlignment="1" applyProtection="1">
      <alignment horizontal="right" indent="1"/>
      <protection/>
    </xf>
    <xf numFmtId="165" fontId="0" fillId="18" borderId="17" xfId="0" applyNumberFormat="1" applyFill="1" applyBorder="1" applyAlignment="1" applyProtection="1">
      <alignment horizontal="right" indent="1"/>
      <protection/>
    </xf>
    <xf numFmtId="165" fontId="42" fillId="18" borderId="18" xfId="0" applyNumberFormat="1" applyFont="1" applyFill="1" applyBorder="1" applyAlignment="1" applyProtection="1">
      <alignment horizontal="right" indent="1"/>
      <protection/>
    </xf>
    <xf numFmtId="165" fontId="42" fillId="18" borderId="0" xfId="0" applyNumberFormat="1" applyFont="1" applyFill="1" applyBorder="1" applyAlignment="1" applyProtection="1">
      <alignment horizontal="right" indent="1"/>
      <protection/>
    </xf>
    <xf numFmtId="165" fontId="0" fillId="18"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165" fontId="0" fillId="18" borderId="0" xfId="0" applyNumberFormat="1" applyFont="1" applyFill="1" applyBorder="1" applyAlignment="1" applyProtection="1">
      <alignment horizontal="right" indent="1"/>
      <protection/>
    </xf>
    <xf numFmtId="0" fontId="0" fillId="34" borderId="0" xfId="0" applyFont="1" applyFill="1" applyBorder="1" applyAlignment="1" applyProtection="1">
      <alignment/>
      <protection/>
    </xf>
    <xf numFmtId="0" fontId="2" fillId="34" borderId="13" xfId="0" applyFont="1" applyFill="1" applyBorder="1" applyAlignment="1" applyProtection="1">
      <alignment horizontal="left" vertical="top" wrapText="1"/>
      <protection/>
    </xf>
    <xf numFmtId="0" fontId="0" fillId="0" borderId="14"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2" xfId="0" applyBorder="1" applyAlignment="1">
      <alignment horizontal="left" vertical="top"/>
    </xf>
    <xf numFmtId="0" fontId="0" fillId="34" borderId="0" xfId="0" applyFill="1" applyBorder="1" applyAlignment="1" applyProtection="1">
      <alignment horizontal="left"/>
      <protection/>
    </xf>
    <xf numFmtId="0" fontId="45" fillId="34" borderId="13" xfId="0" applyFont="1" applyFill="1" applyBorder="1" applyAlignment="1" applyProtection="1">
      <alignment horizontal="center" vertical="center" wrapText="1"/>
      <protection/>
    </xf>
    <xf numFmtId="0" fontId="45" fillId="34" borderId="14" xfId="0" applyFont="1" applyFill="1" applyBorder="1" applyAlignment="1" applyProtection="1">
      <alignment horizontal="center" vertical="center" wrapText="1"/>
      <protection/>
    </xf>
    <xf numFmtId="0" fontId="45" fillId="34" borderId="15"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xf>
    <xf numFmtId="0" fontId="45" fillId="34" borderId="16" xfId="0" applyFont="1" applyFill="1" applyBorder="1" applyAlignment="1" applyProtection="1">
      <alignment horizontal="center" vertical="center" wrapText="1"/>
      <protection/>
    </xf>
    <xf numFmtId="0" fontId="45" fillId="34" borderId="17" xfId="0" applyFont="1" applyFill="1" applyBorder="1" applyAlignment="1" applyProtection="1">
      <alignment horizontal="center" vertical="center" wrapText="1"/>
      <protection/>
    </xf>
    <xf numFmtId="0" fontId="0" fillId="35" borderId="0" xfId="0" applyFill="1" applyBorder="1" applyAlignment="1" applyProtection="1">
      <alignment horizontal="center"/>
      <protection locked="0"/>
    </xf>
    <xf numFmtId="0" fontId="46" fillId="18" borderId="0" xfId="0" applyFont="1"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0" borderId="0" xfId="0" applyAlignment="1">
      <alignment/>
    </xf>
    <xf numFmtId="0" fontId="0" fillId="34" borderId="0" xfId="0"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1</xdr:row>
      <xdr:rowOff>0</xdr:rowOff>
    </xdr:from>
    <xdr:to>
      <xdr:col>8</xdr:col>
      <xdr:colOff>19050</xdr:colOff>
      <xdr:row>5</xdr:row>
      <xdr:rowOff>0</xdr:rowOff>
    </xdr:to>
    <xdr:pic>
      <xdr:nvPicPr>
        <xdr:cNvPr id="1" name="Picture 1"/>
        <xdr:cNvPicPr preferRelativeResize="1">
          <a:picLocks noChangeAspect="1"/>
        </xdr:cNvPicPr>
      </xdr:nvPicPr>
      <xdr:blipFill>
        <a:blip r:embed="rId1"/>
        <a:stretch>
          <a:fillRect/>
        </a:stretch>
      </xdr:blipFill>
      <xdr:spPr>
        <a:xfrm>
          <a:off x="4829175" y="19050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38"/>
  <sheetViews>
    <sheetView showGridLines="0" showRowColHeaders="0" tabSelected="1" zoomScalePageLayoutView="0" workbookViewId="0" topLeftCell="A1">
      <selection activeCell="D10" sqref="D10:G10"/>
    </sheetView>
  </sheetViews>
  <sheetFormatPr defaultColWidth="0" defaultRowHeight="15" customHeight="1" zeroHeight="1"/>
  <cols>
    <col min="1" max="1" width="9.140625" style="1" customWidth="1"/>
    <col min="2" max="2" width="5.57421875" style="1" customWidth="1"/>
    <col min="3" max="3" width="17.28125" style="1" customWidth="1"/>
    <col min="4" max="4" width="14.7109375" style="1" customWidth="1"/>
    <col min="5" max="5" width="13.421875" style="1" customWidth="1"/>
    <col min="6" max="6" width="4.7109375" style="1" customWidth="1"/>
    <col min="7" max="7" width="13.421875" style="1" customWidth="1"/>
    <col min="8" max="8" width="5.28125" style="1" customWidth="1"/>
    <col min="9" max="9" width="9.140625" style="1" customWidth="1"/>
    <col min="10" max="16384" width="9.140625" style="1" hidden="1" customWidth="1"/>
  </cols>
  <sheetData>
    <row r="1" spans="15:22" ht="15">
      <c r="O1" s="1" t="s">
        <v>0</v>
      </c>
      <c r="P1" s="1" t="s">
        <v>1</v>
      </c>
      <c r="Q1" s="1" t="s">
        <v>2</v>
      </c>
      <c r="S1" s="1" t="s">
        <v>3</v>
      </c>
      <c r="T1" s="1" t="s">
        <v>4</v>
      </c>
      <c r="U1" s="1" t="s">
        <v>5</v>
      </c>
      <c r="V1" s="1" t="s">
        <v>6</v>
      </c>
    </row>
    <row r="2" spans="2:22" ht="15" customHeight="1">
      <c r="B2" s="38" t="s">
        <v>7</v>
      </c>
      <c r="C2" s="39"/>
      <c r="D2" s="39"/>
      <c r="E2" s="39"/>
      <c r="F2" s="39"/>
      <c r="G2" s="39"/>
      <c r="H2" s="2"/>
      <c r="O2" s="1">
        <f>ROUND(S2*Q7+T2*R7+U2*S7,2)</f>
        <v>2645.28</v>
      </c>
      <c r="P2" s="1">
        <f>ROUND(V7*V2,2)*(Q2="Y")</f>
        <v>339.19</v>
      </c>
      <c r="Q2" s="3" t="str">
        <f>IF(VALUE(LEFT(G9,4))&lt;2016,"Y","N")</f>
        <v>Y</v>
      </c>
      <c r="S2" s="1">
        <f>MIN(E20,52*O7)</f>
        <v>7956</v>
      </c>
      <c r="T2" s="1">
        <f>MAX(0,MIN(E20,52*P7)-S2)</f>
        <v>22044</v>
      </c>
      <c r="U2" s="1">
        <f>MAX(0,E20-P7*52)</f>
        <v>0</v>
      </c>
      <c r="V2" s="1">
        <f>MAX(0,MIN(E20,52*U7)-52*T7)</f>
        <v>24228</v>
      </c>
    </row>
    <row r="3" spans="2:22" ht="15" customHeight="1">
      <c r="B3" s="40"/>
      <c r="C3" s="41"/>
      <c r="D3" s="41"/>
      <c r="E3" s="41"/>
      <c r="F3" s="41"/>
      <c r="G3" s="41"/>
      <c r="H3" s="4"/>
      <c r="O3" s="1">
        <f>ROUND(S3*Q7+T3*R7+U3*S7,2)</f>
        <v>2411.28</v>
      </c>
      <c r="P3" s="1">
        <f>ROUND(V7*V3,2)*(Q3="Y")</f>
        <v>311.89</v>
      </c>
      <c r="Q3" s="3" t="str">
        <f>Q2</f>
        <v>Y</v>
      </c>
      <c r="S3" s="1">
        <f>MIN(G20,52*O7)</f>
        <v>7956</v>
      </c>
      <c r="T3" s="1">
        <f>MAX(0,MIN(G20,52*P7)-S2)</f>
        <v>20094</v>
      </c>
      <c r="U3" s="1">
        <f>MAX(0,G20-P7*52)</f>
        <v>0</v>
      </c>
      <c r="V3" s="1">
        <f>MAX(0,MIN(G20,52*U7)-52*T7)</f>
        <v>22278</v>
      </c>
    </row>
    <row r="4" spans="2:12" ht="15" customHeight="1">
      <c r="B4" s="40"/>
      <c r="C4" s="41"/>
      <c r="D4" s="41"/>
      <c r="E4" s="41"/>
      <c r="F4" s="41"/>
      <c r="G4" s="41"/>
      <c r="H4" s="4"/>
      <c r="I4" s="5"/>
      <c r="J4" s="5"/>
      <c r="K4" s="5"/>
      <c r="L4" s="5"/>
    </row>
    <row r="5" spans="2:18" ht="15" customHeight="1">
      <c r="B5" s="42"/>
      <c r="C5" s="43"/>
      <c r="D5" s="43"/>
      <c r="E5" s="43"/>
      <c r="F5" s="43"/>
      <c r="G5" s="43"/>
      <c r="H5" s="6"/>
      <c r="N5" s="1" t="s">
        <v>8</v>
      </c>
      <c r="Q5" s="7">
        <f>(D10=O29)*R29+(D10=O30)*R30</f>
        <v>0.065</v>
      </c>
      <c r="R5" s="7">
        <f>(D10=O29)*S29+(D10=O30)*S30</f>
        <v>0.16</v>
      </c>
    </row>
    <row r="6" spans="15:22" ht="15" customHeight="1">
      <c r="O6" s="1" t="s">
        <v>9</v>
      </c>
      <c r="P6" s="1" t="s">
        <v>10</v>
      </c>
      <c r="Q6" s="1" t="s">
        <v>11</v>
      </c>
      <c r="R6" s="1" t="s">
        <v>12</v>
      </c>
      <c r="S6" s="1" t="s">
        <v>13</v>
      </c>
      <c r="T6" s="1" t="s">
        <v>14</v>
      </c>
      <c r="U6" s="1" t="s">
        <v>15</v>
      </c>
      <c r="V6" s="1" t="s">
        <v>16</v>
      </c>
    </row>
    <row r="7" spans="2:22" ht="15">
      <c r="B7" s="8"/>
      <c r="C7" s="9"/>
      <c r="D7" s="9"/>
      <c r="E7" s="9"/>
      <c r="F7" s="9"/>
      <c r="G7" s="9"/>
      <c r="H7" s="2"/>
      <c r="O7" s="1">
        <f>VLOOKUP($G$9,$N$11:$V$25,2,FALSE)</f>
        <v>153</v>
      </c>
      <c r="P7" s="1">
        <f>VLOOKUP($G$9,$N$11:$V$25,3,FALSE)</f>
        <v>805</v>
      </c>
      <c r="Q7" s="10">
        <f>VLOOKUP($G$9,$N$11:$V$25,4,FALSE)</f>
        <v>0</v>
      </c>
      <c r="R7" s="10">
        <f>VLOOKUP($G$9,$N$11:$V$25,5,FALSE)</f>
        <v>0.12</v>
      </c>
      <c r="S7" s="10">
        <f>VLOOKUP($G$9,$N$11:$V$25,6,FALSE)</f>
        <v>0.02</v>
      </c>
      <c r="T7" s="1">
        <f>VLOOKUP($G$9,$N$11:$V$25,7,FALSE)</f>
        <v>111</v>
      </c>
      <c r="U7" s="1">
        <f>VLOOKUP($G$9,$N$11:$V$25,8,FALSE)</f>
        <v>770</v>
      </c>
      <c r="V7" s="10">
        <v>0.014</v>
      </c>
    </row>
    <row r="8" spans="2:8" ht="15">
      <c r="B8" s="11"/>
      <c r="C8" s="17" t="s">
        <v>37</v>
      </c>
      <c r="D8" s="12"/>
      <c r="E8" s="12"/>
      <c r="F8" s="12"/>
      <c r="G8" s="12"/>
      <c r="H8" s="4"/>
    </row>
    <row r="9" spans="2:8" ht="15" customHeight="1">
      <c r="B9" s="11"/>
      <c r="C9" s="12" t="s">
        <v>17</v>
      </c>
      <c r="D9" s="12"/>
      <c r="E9" s="12"/>
      <c r="F9" s="12"/>
      <c r="G9" s="25" t="s">
        <v>18</v>
      </c>
      <c r="H9" s="4"/>
    </row>
    <row r="10" spans="2:22" ht="15">
      <c r="B10" s="11"/>
      <c r="C10" s="12" t="s">
        <v>19</v>
      </c>
      <c r="D10" s="44" t="s">
        <v>20</v>
      </c>
      <c r="E10" s="44"/>
      <c r="F10" s="44"/>
      <c r="G10" s="44"/>
      <c r="H10" s="13"/>
      <c r="N10" s="1" t="s">
        <v>22</v>
      </c>
      <c r="O10" s="1" t="s">
        <v>9</v>
      </c>
      <c r="P10" s="1" t="s">
        <v>10</v>
      </c>
      <c r="Q10" s="1" t="s">
        <v>11</v>
      </c>
      <c r="R10" s="1" t="s">
        <v>12</v>
      </c>
      <c r="S10" s="1" t="s">
        <v>13</v>
      </c>
      <c r="T10" s="1" t="s">
        <v>14</v>
      </c>
      <c r="U10" s="1" t="s">
        <v>15</v>
      </c>
      <c r="V10" s="1" t="s">
        <v>16</v>
      </c>
    </row>
    <row r="11" spans="2:22" ht="15">
      <c r="B11" s="11"/>
      <c r="C11" s="12" t="s">
        <v>21</v>
      </c>
      <c r="D11" s="12"/>
      <c r="E11" s="12"/>
      <c r="F11" s="12"/>
      <c r="G11" s="19">
        <v>30000</v>
      </c>
      <c r="H11" s="4"/>
      <c r="N11" s="1" t="str">
        <f>"2012/13"</f>
        <v>2012/13</v>
      </c>
      <c r="O11" s="1">
        <v>146</v>
      </c>
      <c r="P11" s="1">
        <v>817</v>
      </c>
      <c r="Q11" s="7">
        <v>0</v>
      </c>
      <c r="R11" s="7">
        <v>0.12</v>
      </c>
      <c r="S11" s="7">
        <v>0.02</v>
      </c>
      <c r="T11" s="1">
        <v>107</v>
      </c>
      <c r="U11" s="1">
        <v>770</v>
      </c>
      <c r="V11" s="7">
        <v>0.016</v>
      </c>
    </row>
    <row r="12" spans="2:22" ht="15">
      <c r="B12" s="11"/>
      <c r="C12" s="12" t="s">
        <v>23</v>
      </c>
      <c r="D12" s="12"/>
      <c r="E12" s="12"/>
      <c r="F12" s="12"/>
      <c r="G12" s="14" t="s">
        <v>24</v>
      </c>
      <c r="H12" s="4"/>
      <c r="N12" s="1" t="str">
        <f>LEFT(N11,2)&amp;RIGHT(N11,2)&amp;"/"&amp;TEXT(VALUE(RIGHT(N11,2))+1,"00")</f>
        <v>2013/14</v>
      </c>
      <c r="O12" s="1">
        <v>149</v>
      </c>
      <c r="P12" s="1">
        <v>797</v>
      </c>
      <c r="Q12" s="7">
        <v>0</v>
      </c>
      <c r="R12" s="7">
        <v>0.12</v>
      </c>
      <c r="S12" s="7">
        <v>0.02</v>
      </c>
      <c r="T12" s="1">
        <v>109</v>
      </c>
      <c r="U12" s="1">
        <v>770</v>
      </c>
      <c r="V12" s="7">
        <v>0.016</v>
      </c>
    </row>
    <row r="13" spans="2:22" ht="15">
      <c r="B13" s="15"/>
      <c r="C13" s="16"/>
      <c r="D13" s="16"/>
      <c r="E13" s="16"/>
      <c r="F13" s="16"/>
      <c r="G13" s="16"/>
      <c r="H13" s="6"/>
      <c r="N13" s="1" t="str">
        <f aca="true" t="shared" si="0" ref="N13:N25">LEFT(N12,2)&amp;RIGHT(N12,2)&amp;"/"&amp;TEXT(VALUE(RIGHT(N12,2))+1,"00")</f>
        <v>2014/15</v>
      </c>
      <c r="O13" s="1">
        <v>153</v>
      </c>
      <c r="P13" s="1">
        <v>805</v>
      </c>
      <c r="Q13" s="7">
        <v>0</v>
      </c>
      <c r="R13" s="7">
        <v>0.12</v>
      </c>
      <c r="S13" s="7">
        <v>0.02</v>
      </c>
      <c r="T13" s="1">
        <v>111</v>
      </c>
      <c r="U13" s="1">
        <v>770</v>
      </c>
      <c r="V13" s="7">
        <v>0.016</v>
      </c>
    </row>
    <row r="14" spans="14:22" ht="15">
      <c r="N14" s="1" t="str">
        <f t="shared" si="0"/>
        <v>2015/16</v>
      </c>
      <c r="O14" s="1">
        <v>155</v>
      </c>
      <c r="P14" s="1">
        <v>815</v>
      </c>
      <c r="Q14" s="7">
        <f>Q13</f>
        <v>0</v>
      </c>
      <c r="R14" s="7">
        <f>R13</f>
        <v>0.12</v>
      </c>
      <c r="S14" s="7">
        <f>S13</f>
        <v>0.02</v>
      </c>
      <c r="T14" s="1">
        <v>112</v>
      </c>
      <c r="U14" s="1">
        <f>U13</f>
        <v>770</v>
      </c>
      <c r="V14" s="7">
        <f>V13</f>
        <v>0.016</v>
      </c>
    </row>
    <row r="15" spans="2:22" ht="15">
      <c r="B15" s="8"/>
      <c r="C15" s="9"/>
      <c r="D15" s="9"/>
      <c r="E15" s="9"/>
      <c r="F15" s="9"/>
      <c r="G15" s="9"/>
      <c r="H15" s="2"/>
      <c r="N15" s="1" t="str">
        <f t="shared" si="0"/>
        <v>2016/17</v>
      </c>
      <c r="O15" s="1">
        <f aca="true" t="shared" si="1" ref="O15:O25">ROUND(O14*(1+$P$27),0)</f>
        <v>160</v>
      </c>
      <c r="P15" s="1">
        <f aca="true" t="shared" si="2" ref="P15:P25">ROUND(P14*(1+$P$27),0)</f>
        <v>839</v>
      </c>
      <c r="Q15" s="7">
        <f aca="true" t="shared" si="3" ref="Q15:S25">Q14</f>
        <v>0</v>
      </c>
      <c r="R15" s="7">
        <f t="shared" si="3"/>
        <v>0.12</v>
      </c>
      <c r="S15" s="7">
        <f t="shared" si="3"/>
        <v>0.02</v>
      </c>
      <c r="T15" s="1">
        <f aca="true" t="shared" si="4" ref="T15:T25">ROUND(T14*(1+$P$27),0)</f>
        <v>115</v>
      </c>
      <c r="U15" s="1">
        <f aca="true" t="shared" si="5" ref="U15:V25">U14</f>
        <v>770</v>
      </c>
      <c r="V15" s="7">
        <f t="shared" si="5"/>
        <v>0.016</v>
      </c>
    </row>
    <row r="16" spans="2:22" ht="15">
      <c r="B16" s="11"/>
      <c r="C16" s="17" t="s">
        <v>25</v>
      </c>
      <c r="D16" s="12"/>
      <c r="E16" s="45" t="s">
        <v>34</v>
      </c>
      <c r="F16" s="12"/>
      <c r="G16" s="45" t="s">
        <v>35</v>
      </c>
      <c r="H16" s="4"/>
      <c r="N16" s="1" t="str">
        <f t="shared" si="0"/>
        <v>2017/18</v>
      </c>
      <c r="O16" s="1">
        <f t="shared" si="1"/>
        <v>165</v>
      </c>
      <c r="P16" s="1">
        <f t="shared" si="2"/>
        <v>864</v>
      </c>
      <c r="Q16" s="7">
        <f t="shared" si="3"/>
        <v>0</v>
      </c>
      <c r="R16" s="7">
        <f t="shared" si="3"/>
        <v>0.12</v>
      </c>
      <c r="S16" s="7">
        <f t="shared" si="3"/>
        <v>0.02</v>
      </c>
      <c r="T16" s="1">
        <f t="shared" si="4"/>
        <v>118</v>
      </c>
      <c r="U16" s="1">
        <f t="shared" si="5"/>
        <v>770</v>
      </c>
      <c r="V16" s="7">
        <f t="shared" si="5"/>
        <v>0.016</v>
      </c>
    </row>
    <row r="17" spans="2:22" ht="15">
      <c r="B17" s="11"/>
      <c r="C17" s="12"/>
      <c r="D17" s="12"/>
      <c r="E17" s="45"/>
      <c r="F17" s="12"/>
      <c r="G17" s="45"/>
      <c r="H17" s="4"/>
      <c r="N17" s="1" t="str">
        <f t="shared" si="0"/>
        <v>2018/19</v>
      </c>
      <c r="O17" s="1">
        <f t="shared" si="1"/>
        <v>170</v>
      </c>
      <c r="P17" s="1">
        <f t="shared" si="2"/>
        <v>890</v>
      </c>
      <c r="Q17" s="7">
        <f t="shared" si="3"/>
        <v>0</v>
      </c>
      <c r="R17" s="7">
        <f t="shared" si="3"/>
        <v>0.12</v>
      </c>
      <c r="S17" s="7">
        <f t="shared" si="3"/>
        <v>0.02</v>
      </c>
      <c r="T17" s="1">
        <f t="shared" si="4"/>
        <v>122</v>
      </c>
      <c r="U17" s="1">
        <f t="shared" si="5"/>
        <v>770</v>
      </c>
      <c r="V17" s="7">
        <f t="shared" si="5"/>
        <v>0.016</v>
      </c>
    </row>
    <row r="18" spans="2:22" ht="15">
      <c r="B18" s="11"/>
      <c r="C18" s="12" t="str">
        <f>C11</f>
        <v>Basic salary (annual)</v>
      </c>
      <c r="D18" s="12"/>
      <c r="E18" s="20">
        <f>G11</f>
        <v>30000</v>
      </c>
      <c r="F18" s="12"/>
      <c r="G18" s="20">
        <f>E18</f>
        <v>30000</v>
      </c>
      <c r="H18" s="4"/>
      <c r="N18" s="1" t="str">
        <f t="shared" si="0"/>
        <v>2019/20</v>
      </c>
      <c r="O18" s="1">
        <f t="shared" si="1"/>
        <v>175</v>
      </c>
      <c r="P18" s="1">
        <f t="shared" si="2"/>
        <v>917</v>
      </c>
      <c r="Q18" s="7">
        <f t="shared" si="3"/>
        <v>0</v>
      </c>
      <c r="R18" s="7">
        <f t="shared" si="3"/>
        <v>0.12</v>
      </c>
      <c r="S18" s="7">
        <f t="shared" si="3"/>
        <v>0.02</v>
      </c>
      <c r="T18" s="1">
        <f t="shared" si="4"/>
        <v>126</v>
      </c>
      <c r="U18" s="1">
        <f t="shared" si="5"/>
        <v>770</v>
      </c>
      <c r="V18" s="7">
        <f t="shared" si="5"/>
        <v>0.016</v>
      </c>
    </row>
    <row r="19" spans="2:22" ht="15">
      <c r="B19" s="11"/>
      <c r="C19" s="12" t="s">
        <v>33</v>
      </c>
      <c r="D19" s="12"/>
      <c r="E19" s="21">
        <f>0</f>
        <v>0</v>
      </c>
      <c r="F19" s="12"/>
      <c r="G19" s="21">
        <f>G11*Q5</f>
        <v>1950</v>
      </c>
      <c r="H19" s="4"/>
      <c r="N19" s="1" t="str">
        <f t="shared" si="0"/>
        <v>2020/21</v>
      </c>
      <c r="O19" s="1">
        <f t="shared" si="1"/>
        <v>180</v>
      </c>
      <c r="P19" s="1">
        <f t="shared" si="2"/>
        <v>945</v>
      </c>
      <c r="Q19" s="7">
        <f t="shared" si="3"/>
        <v>0</v>
      </c>
      <c r="R19" s="7">
        <f t="shared" si="3"/>
        <v>0.12</v>
      </c>
      <c r="S19" s="7">
        <f t="shared" si="3"/>
        <v>0.02</v>
      </c>
      <c r="T19" s="1">
        <f t="shared" si="4"/>
        <v>130</v>
      </c>
      <c r="U19" s="1">
        <f t="shared" si="5"/>
        <v>770</v>
      </c>
      <c r="V19" s="7">
        <f t="shared" si="5"/>
        <v>0.016</v>
      </c>
    </row>
    <row r="20" spans="2:22" ht="15">
      <c r="B20" s="11"/>
      <c r="C20" s="12" t="s">
        <v>26</v>
      </c>
      <c r="D20" s="12"/>
      <c r="E20" s="20">
        <f>G11</f>
        <v>30000</v>
      </c>
      <c r="F20" s="12"/>
      <c r="G20" s="20">
        <f>G18-G19</f>
        <v>28050</v>
      </c>
      <c r="H20" s="4"/>
      <c r="N20" s="1" t="str">
        <f t="shared" si="0"/>
        <v>2021/22</v>
      </c>
      <c r="O20" s="1">
        <f t="shared" si="1"/>
        <v>185</v>
      </c>
      <c r="P20" s="1">
        <f t="shared" si="2"/>
        <v>973</v>
      </c>
      <c r="Q20" s="7">
        <f t="shared" si="3"/>
        <v>0</v>
      </c>
      <c r="R20" s="7">
        <f t="shared" si="3"/>
        <v>0.12</v>
      </c>
      <c r="S20" s="7">
        <f t="shared" si="3"/>
        <v>0.02</v>
      </c>
      <c r="T20" s="1">
        <f t="shared" si="4"/>
        <v>134</v>
      </c>
      <c r="U20" s="1">
        <f t="shared" si="5"/>
        <v>770</v>
      </c>
      <c r="V20" s="7">
        <f t="shared" si="5"/>
        <v>0.016</v>
      </c>
    </row>
    <row r="21" spans="2:22" ht="15">
      <c r="B21" s="11"/>
      <c r="C21" s="12" t="s">
        <v>27</v>
      </c>
      <c r="D21" s="12"/>
      <c r="E21" s="21">
        <f>G11*Q5</f>
        <v>1950</v>
      </c>
      <c r="F21" s="12"/>
      <c r="G21" s="21">
        <f>0</f>
        <v>0</v>
      </c>
      <c r="H21" s="4"/>
      <c r="N21" s="1" t="str">
        <f t="shared" si="0"/>
        <v>2022/23</v>
      </c>
      <c r="O21" s="1">
        <f t="shared" si="1"/>
        <v>191</v>
      </c>
      <c r="P21" s="1">
        <f t="shared" si="2"/>
        <v>1002</v>
      </c>
      <c r="Q21" s="7">
        <f t="shared" si="3"/>
        <v>0</v>
      </c>
      <c r="R21" s="7">
        <f t="shared" si="3"/>
        <v>0.12</v>
      </c>
      <c r="S21" s="7">
        <f t="shared" si="3"/>
        <v>0.02</v>
      </c>
      <c r="T21" s="1">
        <f t="shared" si="4"/>
        <v>138</v>
      </c>
      <c r="U21" s="1">
        <f t="shared" si="5"/>
        <v>770</v>
      </c>
      <c r="V21" s="7">
        <f t="shared" si="5"/>
        <v>0.016</v>
      </c>
    </row>
    <row r="22" spans="2:22" ht="15">
      <c r="B22" s="11"/>
      <c r="C22" s="12" t="s">
        <v>28</v>
      </c>
      <c r="D22" s="12"/>
      <c r="E22" s="20">
        <f>E20-E21</f>
        <v>28050</v>
      </c>
      <c r="F22" s="12"/>
      <c r="G22" s="20">
        <f>G20-G21</f>
        <v>28050</v>
      </c>
      <c r="H22" s="4"/>
      <c r="N22" s="1" t="str">
        <f t="shared" si="0"/>
        <v>2023/24</v>
      </c>
      <c r="O22" s="1">
        <f t="shared" si="1"/>
        <v>197</v>
      </c>
      <c r="P22" s="1">
        <f t="shared" si="2"/>
        <v>1032</v>
      </c>
      <c r="Q22" s="7">
        <f t="shared" si="3"/>
        <v>0</v>
      </c>
      <c r="R22" s="7">
        <f t="shared" si="3"/>
        <v>0.12</v>
      </c>
      <c r="S22" s="7">
        <f t="shared" si="3"/>
        <v>0.02</v>
      </c>
      <c r="T22" s="1">
        <f t="shared" si="4"/>
        <v>142</v>
      </c>
      <c r="U22" s="1">
        <f t="shared" si="5"/>
        <v>770</v>
      </c>
      <c r="V22" s="7">
        <f t="shared" si="5"/>
        <v>0.016</v>
      </c>
    </row>
    <row r="23" spans="2:22" ht="15">
      <c r="B23" s="11"/>
      <c r="C23" s="12" t="s">
        <v>36</v>
      </c>
      <c r="D23" s="12"/>
      <c r="E23" s="21">
        <f>ROUND(MAX(0,O2-P2),0)*(G12="Yes")</f>
        <v>2306</v>
      </c>
      <c r="F23" s="12"/>
      <c r="G23" s="21">
        <f>ROUND(MAX(0,O3-P3),0)*(G12="Yes")</f>
        <v>2099</v>
      </c>
      <c r="H23" s="4"/>
      <c r="N23" s="1" t="str">
        <f t="shared" si="0"/>
        <v>2024/25</v>
      </c>
      <c r="O23" s="1">
        <f t="shared" si="1"/>
        <v>203</v>
      </c>
      <c r="P23" s="1">
        <f t="shared" si="2"/>
        <v>1063</v>
      </c>
      <c r="Q23" s="7">
        <f t="shared" si="3"/>
        <v>0</v>
      </c>
      <c r="R23" s="7">
        <f t="shared" si="3"/>
        <v>0.12</v>
      </c>
      <c r="S23" s="7">
        <f t="shared" si="3"/>
        <v>0.02</v>
      </c>
      <c r="T23" s="1">
        <f t="shared" si="4"/>
        <v>146</v>
      </c>
      <c r="U23" s="1">
        <f t="shared" si="5"/>
        <v>770</v>
      </c>
      <c r="V23" s="7">
        <f t="shared" si="5"/>
        <v>0.016</v>
      </c>
    </row>
    <row r="24" spans="2:22" ht="15">
      <c r="B24" s="11"/>
      <c r="C24" s="12" t="s">
        <v>29</v>
      </c>
      <c r="D24" s="12"/>
      <c r="E24" s="22">
        <f>E22-E23</f>
        <v>25744</v>
      </c>
      <c r="F24" s="12"/>
      <c r="G24" s="22">
        <f>G22-G23</f>
        <v>25951</v>
      </c>
      <c r="H24" s="4"/>
      <c r="N24" s="1" t="str">
        <f t="shared" si="0"/>
        <v>2025/26</v>
      </c>
      <c r="O24" s="1">
        <f t="shared" si="1"/>
        <v>209</v>
      </c>
      <c r="P24" s="1">
        <f t="shared" si="2"/>
        <v>1095</v>
      </c>
      <c r="Q24" s="7">
        <f t="shared" si="3"/>
        <v>0</v>
      </c>
      <c r="R24" s="7">
        <f t="shared" si="3"/>
        <v>0.12</v>
      </c>
      <c r="S24" s="7">
        <f t="shared" si="3"/>
        <v>0.02</v>
      </c>
      <c r="T24" s="1">
        <f t="shared" si="4"/>
        <v>150</v>
      </c>
      <c r="U24" s="1">
        <f t="shared" si="5"/>
        <v>770</v>
      </c>
      <c r="V24" s="7">
        <f t="shared" si="5"/>
        <v>0.016</v>
      </c>
    </row>
    <row r="25" spans="2:22" ht="15">
      <c r="B25" s="11"/>
      <c r="C25" s="12"/>
      <c r="D25" s="12"/>
      <c r="E25" s="24"/>
      <c r="F25" s="12"/>
      <c r="G25" s="20"/>
      <c r="H25" s="4"/>
      <c r="N25" s="1" t="str">
        <f t="shared" si="0"/>
        <v>2026/27</v>
      </c>
      <c r="O25" s="1">
        <f t="shared" si="1"/>
        <v>215</v>
      </c>
      <c r="P25" s="1">
        <f t="shared" si="2"/>
        <v>1128</v>
      </c>
      <c r="Q25" s="7">
        <f t="shared" si="3"/>
        <v>0</v>
      </c>
      <c r="R25" s="7">
        <f t="shared" si="3"/>
        <v>0.12</v>
      </c>
      <c r="S25" s="7">
        <f t="shared" si="3"/>
        <v>0.02</v>
      </c>
      <c r="T25" s="1">
        <f t="shared" si="4"/>
        <v>155</v>
      </c>
      <c r="U25" s="1">
        <f t="shared" si="5"/>
        <v>770</v>
      </c>
      <c r="V25" s="7">
        <f t="shared" si="5"/>
        <v>0.016</v>
      </c>
    </row>
    <row r="26" spans="2:8" ht="15">
      <c r="B26" s="11"/>
      <c r="C26" s="12" t="s">
        <v>38</v>
      </c>
      <c r="D26" s="12"/>
      <c r="E26" s="24"/>
      <c r="F26" s="12"/>
      <c r="G26" s="23">
        <f>G24-E24</f>
        <v>207</v>
      </c>
      <c r="H26" s="4"/>
    </row>
    <row r="27" spans="2:16" ht="15">
      <c r="B27" s="11"/>
      <c r="C27" s="12"/>
      <c r="D27" s="12"/>
      <c r="E27" s="24"/>
      <c r="F27" s="12"/>
      <c r="G27" s="23"/>
      <c r="H27" s="4"/>
      <c r="N27" s="1" t="s">
        <v>30</v>
      </c>
      <c r="P27" s="18">
        <v>0.03</v>
      </c>
    </row>
    <row r="28" spans="2:8" ht="15" customHeight="1">
      <c r="B28" s="11"/>
      <c r="C28" s="12" t="s">
        <v>27</v>
      </c>
      <c r="D28" s="12"/>
      <c r="E28" s="26">
        <f>E21</f>
        <v>1950</v>
      </c>
      <c r="F28" s="27"/>
      <c r="G28" s="26">
        <f>G21</f>
        <v>0</v>
      </c>
      <c r="H28" s="4"/>
    </row>
    <row r="29" spans="2:19" ht="15">
      <c r="B29" s="11"/>
      <c r="C29" s="37" t="s">
        <v>42</v>
      </c>
      <c r="D29" s="37"/>
      <c r="E29" s="26">
        <f>G11*R5</f>
        <v>4800</v>
      </c>
      <c r="F29" s="27"/>
      <c r="G29" s="26">
        <f>G11*R5</f>
        <v>4800</v>
      </c>
      <c r="H29" s="4"/>
      <c r="N29" s="1" t="s">
        <v>31</v>
      </c>
      <c r="O29" s="1" t="s">
        <v>32</v>
      </c>
      <c r="R29" s="10">
        <v>0.075</v>
      </c>
      <c r="S29" s="10">
        <v>0.16</v>
      </c>
    </row>
    <row r="30" spans="2:19" ht="15">
      <c r="B30" s="11"/>
      <c r="C30" s="46" t="s">
        <v>39</v>
      </c>
      <c r="D30" s="47"/>
      <c r="E30" s="26">
        <f>E19</f>
        <v>0</v>
      </c>
      <c r="F30" s="27"/>
      <c r="G30" s="26">
        <f>G19</f>
        <v>1950</v>
      </c>
      <c r="H30" s="4"/>
      <c r="O30" s="1" t="s">
        <v>20</v>
      </c>
      <c r="R30" s="10">
        <v>0.065</v>
      </c>
      <c r="S30" s="10">
        <v>0.16</v>
      </c>
    </row>
    <row r="31" spans="2:8" ht="15" customHeight="1">
      <c r="B31" s="11"/>
      <c r="C31" s="48" t="s">
        <v>40</v>
      </c>
      <c r="D31" s="48"/>
      <c r="E31" s="22">
        <f>SUM(E28:E30)</f>
        <v>6750</v>
      </c>
      <c r="F31" s="12"/>
      <c r="G31" s="22">
        <f>SUM(G28:G30)</f>
        <v>6750</v>
      </c>
      <c r="H31" s="4"/>
    </row>
    <row r="32" spans="2:8" ht="15" customHeight="1">
      <c r="B32" s="15"/>
      <c r="C32" s="16"/>
      <c r="D32" s="16"/>
      <c r="E32" s="16"/>
      <c r="F32" s="16"/>
      <c r="G32" s="16"/>
      <c r="H32" s="6"/>
    </row>
    <row r="33" ht="15" customHeight="1"/>
    <row r="34" spans="2:8" ht="15" customHeight="1">
      <c r="B34" s="28" t="s">
        <v>41</v>
      </c>
      <c r="C34" s="29"/>
      <c r="D34" s="29"/>
      <c r="E34" s="29"/>
      <c r="F34" s="29"/>
      <c r="G34" s="29"/>
      <c r="H34" s="30"/>
    </row>
    <row r="35" spans="2:8" ht="15" customHeight="1">
      <c r="B35" s="31"/>
      <c r="C35" s="32"/>
      <c r="D35" s="32"/>
      <c r="E35" s="32"/>
      <c r="F35" s="32"/>
      <c r="G35" s="32"/>
      <c r="H35" s="33"/>
    </row>
    <row r="36" spans="2:8" ht="15" customHeight="1">
      <c r="B36" s="31"/>
      <c r="C36" s="32"/>
      <c r="D36" s="32"/>
      <c r="E36" s="32"/>
      <c r="F36" s="32"/>
      <c r="G36" s="32"/>
      <c r="H36" s="33"/>
    </row>
    <row r="37" spans="2:8" ht="15" customHeight="1">
      <c r="B37" s="31"/>
      <c r="C37" s="32"/>
      <c r="D37" s="32"/>
      <c r="E37" s="32"/>
      <c r="F37" s="32"/>
      <c r="G37" s="32"/>
      <c r="H37" s="33"/>
    </row>
    <row r="38" spans="2:8" ht="3.75" customHeight="1">
      <c r="B38" s="34"/>
      <c r="C38" s="35"/>
      <c r="D38" s="35"/>
      <c r="E38" s="35"/>
      <c r="F38" s="35"/>
      <c r="G38" s="35"/>
      <c r="H38" s="36"/>
    </row>
    <row r="39" ht="15" customHeight="1"/>
    <row r="40" ht="15.75" customHeight="1" hidden="1"/>
  </sheetData>
  <sheetProtection sheet="1" objects="1" scenarios="1" selectLockedCells="1"/>
  <mergeCells count="8">
    <mergeCell ref="B34:H38"/>
    <mergeCell ref="C29:D29"/>
    <mergeCell ref="B2:G5"/>
    <mergeCell ref="D10:G10"/>
    <mergeCell ref="E16:E17"/>
    <mergeCell ref="G16:G17"/>
    <mergeCell ref="C30:D30"/>
    <mergeCell ref="C31:D31"/>
  </mergeCells>
  <dataValidations count="5">
    <dataValidation type="list" allowBlank="1" showInputMessage="1" showErrorMessage="1" sqref="G12">
      <formula1>"Yes,No"</formula1>
    </dataValidation>
    <dataValidation type="list" allowBlank="1" showInputMessage="1" showErrorMessage="1" sqref="D10">
      <formula1>$O$29:$O$30</formula1>
    </dataValidation>
    <dataValidation type="list" allowBlank="1" showInputMessage="1" showErrorMessage="1" sqref="G9">
      <formula1>$N$13:$N$14</formula1>
    </dataValidation>
    <dataValidation type="decimal" allowBlank="1" showInputMessage="1" showErrorMessage="1" sqref="Q5">
      <formula1>0</formula1>
      <formula2>0.5</formula2>
    </dataValidation>
    <dataValidation type="decimal" allowBlank="1" showInputMessage="1" showErrorMessage="1" errorTitle="Invalid number" error="Earnings need to be above the pay protection level of £8,100 pa in order to be eligible to participate." sqref="G11">
      <formula1>8100</formula1>
      <formula2>9999999.99</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Wheeler</dc:creator>
  <cp:keywords/>
  <dc:description/>
  <cp:lastModifiedBy>Kris Muircroft</cp:lastModifiedBy>
  <cp:lastPrinted>2015-01-28T13:00:47Z</cp:lastPrinted>
  <dcterms:created xsi:type="dcterms:W3CDTF">2015-01-27T18:23:08Z</dcterms:created>
  <dcterms:modified xsi:type="dcterms:W3CDTF">2015-02-13T12:47:15Z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